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5440" windowHeight="13540" tabRatio="50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0" i="1"/>
  <c r="J20"/>
  <c r="I24"/>
  <c r="H24"/>
  <c r="H23"/>
  <c r="H22"/>
  <c r="K7"/>
  <c r="K8"/>
  <c r="K9"/>
  <c r="K10"/>
  <c r="K11"/>
  <c r="K12"/>
  <c r="K13"/>
  <c r="K14"/>
  <c r="K15"/>
  <c r="K16"/>
  <c r="K17"/>
  <c r="K18"/>
  <c r="J8"/>
  <c r="J9"/>
  <c r="J10"/>
  <c r="J11"/>
  <c r="J12"/>
  <c r="J13"/>
  <c r="J14"/>
  <c r="J15"/>
  <c r="J16"/>
  <c r="J17"/>
  <c r="J18"/>
  <c r="J7"/>
  <c r="G17"/>
  <c r="L75"/>
  <c r="I8"/>
  <c r="H8"/>
  <c r="G8"/>
  <c r="G56"/>
  <c r="G55"/>
  <c r="I49"/>
  <c r="I76"/>
  <c r="J76"/>
  <c r="G53"/>
  <c r="G54"/>
  <c r="G9"/>
  <c r="H9"/>
  <c r="G10"/>
  <c r="H10"/>
  <c r="G12"/>
  <c r="H12"/>
  <c r="G14"/>
  <c r="H14"/>
  <c r="G18"/>
  <c r="H18"/>
  <c r="H17"/>
  <c r="H20"/>
  <c r="I9"/>
  <c r="I10"/>
  <c r="I12"/>
  <c r="I14"/>
  <c r="I18"/>
  <c r="I17"/>
  <c r="I20"/>
  <c r="I23"/>
  <c r="F116"/>
  <c r="H103"/>
  <c r="H102"/>
  <c r="L97"/>
  <c r="L98"/>
  <c r="G102"/>
  <c r="K97"/>
  <c r="I102"/>
  <c r="G15"/>
  <c r="H7"/>
  <c r="I7"/>
  <c r="H11"/>
  <c r="I11"/>
  <c r="H13"/>
  <c r="I13"/>
  <c r="H15"/>
  <c r="I15"/>
  <c r="K96"/>
  <c r="L96"/>
  <c r="K99"/>
  <c r="L99"/>
  <c r="G103"/>
  <c r="I103"/>
  <c r="G16"/>
  <c r="H16"/>
  <c r="I16"/>
  <c r="F115"/>
  <c r="F114"/>
  <c r="F113"/>
  <c r="F112"/>
  <c r="F108"/>
  <c r="K98"/>
  <c r="I99"/>
  <c r="I98"/>
  <c r="I97"/>
  <c r="I96"/>
  <c r="G13"/>
  <c r="H39"/>
  <c r="G80"/>
  <c r="J71"/>
  <c r="G7"/>
  <c r="I71"/>
  <c r="H71"/>
  <c r="G71"/>
  <c r="G72"/>
  <c r="H72"/>
  <c r="I72"/>
  <c r="D9"/>
  <c r="G78"/>
  <c r="J72"/>
  <c r="H69"/>
  <c r="I69"/>
  <c r="J69"/>
  <c r="H70"/>
  <c r="I70"/>
  <c r="J70"/>
  <c r="H73"/>
  <c r="I73"/>
  <c r="J73"/>
  <c r="H74"/>
  <c r="I74"/>
  <c r="J74"/>
  <c r="H75"/>
  <c r="I75"/>
  <c r="G79"/>
  <c r="K75"/>
  <c r="D8"/>
  <c r="F34"/>
  <c r="H34"/>
  <c r="F35"/>
  <c r="H35"/>
  <c r="F36"/>
  <c r="H36"/>
  <c r="H37"/>
  <c r="H40"/>
  <c r="D7"/>
  <c r="D11"/>
  <c r="H42"/>
  <c r="G11"/>
  <c r="D19"/>
  <c r="B55"/>
  <c r="B56"/>
  <c r="B54"/>
  <c r="B43"/>
  <c r="B59"/>
  <c r="B63"/>
  <c r="F11"/>
  <c r="E11"/>
  <c r="F9"/>
  <c r="E9"/>
  <c r="E8"/>
  <c r="F8"/>
  <c r="F7"/>
  <c r="E7"/>
  <c r="B60"/>
  <c r="B61"/>
  <c r="B57"/>
  <c r="A46"/>
  <c r="A47"/>
  <c r="A49"/>
  <c r="H25"/>
</calcChain>
</file>

<file path=xl/sharedStrings.xml><?xml version="1.0" encoding="utf-8"?>
<sst xmlns="http://schemas.openxmlformats.org/spreadsheetml/2006/main" count="153" uniqueCount="150">
  <si>
    <t xml:space="preserve">double compte entre alimentations et agriculture + industries agroalimentaires </t>
    <phoneticPr fontId="2" type="noConversion"/>
  </si>
  <si>
    <t xml:space="preserve">Limites de l'étude et double comptes : </t>
    <phoneticPr fontId="2" type="noConversion"/>
  </si>
  <si>
    <t>%fem</t>
    <phoneticPr fontId="2" type="noConversion"/>
  </si>
  <si>
    <t>%hom</t>
    <phoneticPr fontId="2" type="noConversion"/>
  </si>
  <si>
    <t xml:space="preserve">Les déplacements professionnels (avion) pourraient être mieux répartis en fonction Ho femme ce qui creuserait encore les écarts (probablement + d'ho que de fem dans les avions intérieurs) </t>
    <phoneticPr fontId="2" type="noConversion"/>
  </si>
  <si>
    <t xml:space="preserve">Les déplacements hors France ne sont pas comptabilisés </t>
    <phoneticPr fontId="2" type="noConversion"/>
  </si>
  <si>
    <t>2300 et 1800 respectivement</t>
    <phoneticPr fontId="2" type="noConversion"/>
  </si>
  <si>
    <t xml:space="preserve">U/ ménage </t>
    <phoneticPr fontId="2" type="noConversion"/>
  </si>
  <si>
    <t>u/pers</t>
    <phoneticPr fontId="2" type="noConversion"/>
  </si>
  <si>
    <t>Amrt (an)</t>
    <phoneticPr fontId="2" type="noConversion"/>
  </si>
  <si>
    <t xml:space="preserve">kg CO2/an </t>
    <phoneticPr fontId="2" type="noConversion"/>
  </si>
  <si>
    <t>kg CO2 / perS.an</t>
    <phoneticPr fontId="2" type="noConversion"/>
  </si>
  <si>
    <t xml:space="preserve">kg / u </t>
    <phoneticPr fontId="2" type="noConversion"/>
  </si>
  <si>
    <t xml:space="preserve">Taille mén moyen </t>
    <phoneticPr fontId="2" type="noConversion"/>
  </si>
  <si>
    <t xml:space="preserve">TV video </t>
    <phoneticPr fontId="2" type="noConversion"/>
  </si>
  <si>
    <t xml:space="preserve">Radio musique </t>
    <phoneticPr fontId="2" type="noConversion"/>
  </si>
  <si>
    <t xml:space="preserve">GES / perS. An </t>
    <phoneticPr fontId="2" type="noConversion"/>
  </si>
  <si>
    <t xml:space="preserve">Livres </t>
    <phoneticPr fontId="2" type="noConversion"/>
  </si>
  <si>
    <t xml:space="preserve">10 min par jour </t>
    <phoneticPr fontId="2" type="noConversion"/>
  </si>
  <si>
    <t xml:space="preserve">1 page par min </t>
    <phoneticPr fontId="2" type="noConversion"/>
  </si>
  <si>
    <t xml:space="preserve">3650 pages </t>
    <phoneticPr fontId="2" type="noConversion"/>
  </si>
  <si>
    <t xml:space="preserve">15 livres </t>
    <phoneticPr fontId="2" type="noConversion"/>
  </si>
  <si>
    <t xml:space="preserve">300 g / livre </t>
    <phoneticPr fontId="2" type="noConversion"/>
  </si>
  <si>
    <t xml:space="preserve">kg Papier </t>
    <phoneticPr fontId="2" type="noConversion"/>
  </si>
  <si>
    <t xml:space="preserve">kg eq CO2 / tonne papier imprimé </t>
    <phoneticPr fontId="2" type="noConversion"/>
  </si>
  <si>
    <t xml:space="preserve">kg eq CO2 </t>
    <phoneticPr fontId="2" type="noConversion"/>
  </si>
  <si>
    <t xml:space="preserve">kg CO2 / min de lecture </t>
    <phoneticPr fontId="2" type="noConversion"/>
  </si>
  <si>
    <t xml:space="preserve">kg CO2 / min de rubrique </t>
    <phoneticPr fontId="2" type="noConversion"/>
  </si>
  <si>
    <t>kg CO2 / min.pers</t>
    <phoneticPr fontId="2" type="noConversion"/>
  </si>
  <si>
    <t xml:space="preserve">indic CO2 / min </t>
    <phoneticPr fontId="2" type="noConversion"/>
  </si>
  <si>
    <t xml:space="preserve">Min / an </t>
    <phoneticPr fontId="2" type="noConversion"/>
  </si>
  <si>
    <t xml:space="preserve">CALCULS </t>
    <phoneticPr fontId="2" type="noConversion"/>
  </si>
  <si>
    <t xml:space="preserve">Vérification </t>
    <phoneticPr fontId="2" type="noConversion"/>
  </si>
  <si>
    <t xml:space="preserve">GES / perS. An </t>
    <phoneticPr fontId="2" type="noConversion"/>
  </si>
  <si>
    <t>MTCO2e</t>
    <phoneticPr fontId="2" type="noConversion"/>
  </si>
  <si>
    <t xml:space="preserve">iC femme </t>
    <phoneticPr fontId="2" type="noConversion"/>
  </si>
  <si>
    <t xml:space="preserve">IC Homme </t>
    <phoneticPr fontId="2" type="noConversion"/>
  </si>
  <si>
    <t xml:space="preserve">NB pers concernées </t>
    <phoneticPr fontId="2" type="noConversion"/>
  </si>
  <si>
    <t xml:space="preserve">Double compte entre consommation de biens et activité des entreprises </t>
    <phoneticPr fontId="2" type="noConversion"/>
  </si>
  <si>
    <t xml:space="preserve">KWH gaz / m2.an </t>
    <phoneticPr fontId="2" type="noConversion"/>
  </si>
  <si>
    <t xml:space="preserve">kW froid / m2 soit </t>
    <phoneticPr fontId="2" type="noConversion"/>
  </si>
  <si>
    <t>kg CO2 / m2.an</t>
    <phoneticPr fontId="2" type="noConversion"/>
  </si>
  <si>
    <t xml:space="preserve">Professions </t>
    <phoneticPr fontId="2" type="noConversion"/>
  </si>
  <si>
    <t xml:space="preserve">GES industrie France </t>
    <phoneticPr fontId="2" type="noConversion"/>
  </si>
  <si>
    <t xml:space="preserve">GES Tertiaire France </t>
    <phoneticPr fontId="2" type="noConversion"/>
  </si>
  <si>
    <t>NRJ</t>
    <phoneticPr fontId="2" type="noConversion"/>
  </si>
  <si>
    <t xml:space="preserve">Indust </t>
    <phoneticPr fontId="2" type="noConversion"/>
  </si>
  <si>
    <t>Agric</t>
    <phoneticPr fontId="2" type="noConversion"/>
  </si>
  <si>
    <t xml:space="preserve">déchets </t>
    <phoneticPr fontId="2" type="noConversion"/>
  </si>
  <si>
    <t>MTCO2e 2008</t>
    <phoneticPr fontId="2" type="noConversion"/>
  </si>
  <si>
    <t xml:space="preserve">Transports </t>
    <phoneticPr fontId="2" type="noConversion"/>
  </si>
  <si>
    <t>nb Hab (mion)</t>
    <phoneticPr fontId="2" type="noConversion"/>
  </si>
  <si>
    <t>kgCO2 / Hab.an</t>
    <phoneticPr fontId="2" type="noConversion"/>
  </si>
  <si>
    <t xml:space="preserve">min emplois </t>
    <phoneticPr fontId="2" type="noConversion"/>
  </si>
  <si>
    <t>kg CO2 / hab/jour</t>
    <phoneticPr fontId="2" type="noConversion"/>
  </si>
  <si>
    <t>kg CO2 / hba.min</t>
    <phoneticPr fontId="2" type="noConversion"/>
  </si>
  <si>
    <t>Min dépl</t>
    <phoneticPr fontId="2" type="noConversion"/>
  </si>
  <si>
    <t xml:space="preserve">Hypothèse Habitat </t>
    <phoneticPr fontId="2" type="noConversion"/>
  </si>
  <si>
    <t>Ménage = 2,5 pers</t>
    <phoneticPr fontId="2" type="noConversion"/>
  </si>
  <si>
    <t xml:space="preserve">100 m2 moy </t>
    <phoneticPr fontId="2" type="noConversion"/>
  </si>
  <si>
    <r>
      <t xml:space="preserve">soit 40 </t>
    </r>
    <r>
      <rPr>
        <sz val="10"/>
        <color indexed="206"/>
        <rFont val="Verdana"/>
      </rPr>
      <t>m2</t>
    </r>
    <r>
      <rPr>
        <sz val="10"/>
        <rFont val="Verdana"/>
      </rPr>
      <t xml:space="preserve"> par pers </t>
    </r>
    <phoneticPr fontId="2" type="noConversion"/>
  </si>
  <si>
    <t xml:space="preserve">50% des ménages travaillent avec 12 m2 / pers </t>
    <phoneticPr fontId="2" type="noConversion"/>
  </si>
  <si>
    <t>soit 6m2/pers</t>
    <phoneticPr fontId="2" type="noConversion"/>
  </si>
  <si>
    <t xml:space="preserve">mais 2 fois + de conso teritaire </t>
    <phoneticPr fontId="2" type="noConversion"/>
  </si>
  <si>
    <t>soit 1/4</t>
    <phoneticPr fontId="2" type="noConversion"/>
  </si>
  <si>
    <t>Maisons</t>
    <phoneticPr fontId="2" type="noConversion"/>
  </si>
  <si>
    <t>Tertiaire</t>
    <phoneticPr fontId="2" type="noConversion"/>
  </si>
  <si>
    <t>Min maison</t>
    <phoneticPr fontId="2" type="noConversion"/>
  </si>
  <si>
    <t xml:space="preserve">Matériel divers </t>
    <phoneticPr fontId="2" type="noConversion"/>
  </si>
  <si>
    <t xml:space="preserve">Radio </t>
    <phoneticPr fontId="2" type="noConversion"/>
  </si>
  <si>
    <t xml:space="preserve">TV </t>
    <phoneticPr fontId="2" type="noConversion"/>
  </si>
  <si>
    <t xml:space="preserve">Vidéo </t>
    <phoneticPr fontId="2" type="noConversion"/>
  </si>
  <si>
    <t xml:space="preserve">Musique </t>
    <phoneticPr fontId="2" type="noConversion"/>
  </si>
  <si>
    <t>FE (kg CO2)</t>
    <phoneticPr fontId="2" type="noConversion"/>
  </si>
  <si>
    <t xml:space="preserve">amort </t>
    <phoneticPr fontId="2" type="noConversion"/>
  </si>
  <si>
    <t>kg CO2/an</t>
    <phoneticPr fontId="2" type="noConversion"/>
  </si>
  <si>
    <t>TOTAL</t>
    <phoneticPr fontId="2" type="noConversion"/>
  </si>
  <si>
    <t xml:space="preserve">autre idée </t>
    <phoneticPr fontId="2" type="noConversion"/>
  </si>
  <si>
    <t xml:space="preserve">km / an </t>
    <phoneticPr fontId="2" type="noConversion"/>
  </si>
  <si>
    <t xml:space="preserve">voit / pers </t>
    <phoneticPr fontId="2" type="noConversion"/>
  </si>
  <si>
    <t xml:space="preserve">km / perS. An en voiture </t>
    <phoneticPr fontId="2" type="noConversion"/>
  </si>
  <si>
    <t xml:space="preserve">h / jour </t>
    <phoneticPr fontId="2" type="noConversion"/>
  </si>
  <si>
    <t>h/an</t>
    <phoneticPr fontId="2" type="noConversion"/>
  </si>
  <si>
    <t>km/h</t>
    <phoneticPr fontId="2" type="noConversion"/>
  </si>
  <si>
    <t xml:space="preserve">kg CO2 / an.personne </t>
    <phoneticPr fontId="2" type="noConversion"/>
  </si>
  <si>
    <t xml:space="preserve">kg CO2 / an.femme </t>
    <phoneticPr fontId="2" type="noConversion"/>
  </si>
  <si>
    <t xml:space="preserve">kg CO2 / an.homme </t>
    <phoneticPr fontId="2" type="noConversion"/>
  </si>
  <si>
    <t>Minutes TOTAL</t>
    <phoneticPr fontId="2" type="noConversion"/>
  </si>
  <si>
    <t xml:space="preserve">Moy </t>
    <phoneticPr fontId="2" type="noConversion"/>
  </si>
  <si>
    <t>Fem</t>
    <phoneticPr fontId="2" type="noConversion"/>
  </si>
  <si>
    <t>Hom</t>
    <phoneticPr fontId="2" type="noConversion"/>
  </si>
  <si>
    <t xml:space="preserve">kg CO2 Fem </t>
    <phoneticPr fontId="2" type="noConversion"/>
  </si>
  <si>
    <t xml:space="preserve">kg CO2 hom </t>
    <phoneticPr fontId="2" type="noConversion"/>
  </si>
  <si>
    <t xml:space="preserve">kg CO2 / h </t>
    <phoneticPr fontId="2" type="noConversion"/>
  </si>
  <si>
    <t xml:space="preserve">PAR JOUR </t>
    <phoneticPr fontId="2" type="noConversion"/>
  </si>
  <si>
    <t xml:space="preserve">min / jour </t>
    <phoneticPr fontId="2" type="noConversion"/>
  </si>
  <si>
    <t xml:space="preserve">kg CO2 / jour </t>
    <phoneticPr fontId="2" type="noConversion"/>
  </si>
  <si>
    <t xml:space="preserve">kg CO2 / min </t>
    <phoneticPr fontId="2" type="noConversion"/>
  </si>
  <si>
    <t xml:space="preserve">pour le logement </t>
    <phoneticPr fontId="2" type="noConversion"/>
  </si>
  <si>
    <t xml:space="preserve">Nourrriture </t>
    <phoneticPr fontId="2" type="noConversion"/>
  </si>
  <si>
    <t xml:space="preserve">Femmes </t>
    <phoneticPr fontId="2" type="noConversion"/>
  </si>
  <si>
    <t xml:space="preserve">kCal </t>
    <phoneticPr fontId="2" type="noConversion"/>
  </si>
  <si>
    <t xml:space="preserve">Hommes </t>
    <phoneticPr fontId="2" type="noConversion"/>
  </si>
  <si>
    <t xml:space="preserve">kCAL / jour </t>
    <phoneticPr fontId="2" type="noConversion"/>
  </si>
  <si>
    <t xml:space="preserve">Hypothèse Poids C alimentation </t>
    <phoneticPr fontId="2" type="noConversion"/>
  </si>
  <si>
    <t xml:space="preserve">1 repas moyen </t>
    <phoneticPr fontId="2" type="noConversion"/>
  </si>
  <si>
    <t xml:space="preserve">kg CO2 </t>
    <phoneticPr fontId="2" type="noConversion"/>
  </si>
  <si>
    <t xml:space="preserve">journée </t>
    <phoneticPr fontId="2" type="noConversion"/>
  </si>
  <si>
    <t xml:space="preserve">kg CO2 </t>
    <phoneticPr fontId="2" type="noConversion"/>
  </si>
  <si>
    <t xml:space="preserve">indic C min </t>
    <phoneticPr fontId="2" type="noConversion"/>
  </si>
  <si>
    <t xml:space="preserve">kg CO2 / min </t>
    <phoneticPr fontId="2" type="noConversion"/>
  </si>
  <si>
    <t xml:space="preserve">m2/personne </t>
    <phoneticPr fontId="2" type="noConversion"/>
  </si>
  <si>
    <t xml:space="preserve">kWh gaz / m2 </t>
    <phoneticPr fontId="2" type="noConversion"/>
  </si>
  <si>
    <t xml:space="preserve">Dormir </t>
    <phoneticPr fontId="2" type="noConversion"/>
  </si>
  <si>
    <t xml:space="preserve">Manger &amp; se laver </t>
    <phoneticPr fontId="2" type="noConversion"/>
  </si>
  <si>
    <t xml:space="preserve">Travailler </t>
    <phoneticPr fontId="2" type="noConversion"/>
  </si>
  <si>
    <t xml:space="preserve">Etudier </t>
    <phoneticPr fontId="2" type="noConversion"/>
  </si>
  <si>
    <t xml:space="preserve">Ménage &amp; Famille </t>
    <phoneticPr fontId="2" type="noConversion"/>
  </si>
  <si>
    <t xml:space="preserve">Trav Bénévole </t>
    <phoneticPr fontId="2" type="noConversion"/>
  </si>
  <si>
    <t xml:space="preserve">Socialisation </t>
    <phoneticPr fontId="2" type="noConversion"/>
  </si>
  <si>
    <t xml:space="preserve">Loisirs </t>
    <phoneticPr fontId="2" type="noConversion"/>
  </si>
  <si>
    <t xml:space="preserve">Tv&amp; Vidéo </t>
    <phoneticPr fontId="2" type="noConversion"/>
  </si>
  <si>
    <t xml:space="preserve">Radio Musique Lecture </t>
    <phoneticPr fontId="2" type="noConversion"/>
  </si>
  <si>
    <t xml:space="preserve">Déplacements </t>
    <phoneticPr fontId="2" type="noConversion"/>
  </si>
  <si>
    <t xml:space="preserve">Autres </t>
    <phoneticPr fontId="2" type="noConversion"/>
  </si>
  <si>
    <t xml:space="preserve">Maison + literie </t>
    <phoneticPr fontId="2" type="noConversion"/>
  </si>
  <si>
    <t xml:space="preserve">Maison + ECS + Nourriture (Calories) </t>
    <phoneticPr fontId="2" type="noConversion"/>
  </si>
  <si>
    <t xml:space="preserve">M2 bureaux  et Secteur activité </t>
    <phoneticPr fontId="2" type="noConversion"/>
  </si>
  <si>
    <t xml:space="preserve">BC 2cole réparti en GES / éleve </t>
    <phoneticPr fontId="2" type="noConversion"/>
  </si>
  <si>
    <t xml:space="preserve">Maison </t>
    <phoneticPr fontId="2" type="noConversion"/>
  </si>
  <si>
    <t xml:space="preserve">Amis </t>
    <phoneticPr fontId="2" type="noConversion"/>
  </si>
  <si>
    <t xml:space="preserve">Cinéma , sport </t>
    <phoneticPr fontId="2" type="noConversion"/>
  </si>
  <si>
    <t>Amort Matériel + elec</t>
    <phoneticPr fontId="2" type="noConversion"/>
  </si>
  <si>
    <t xml:space="preserve">Vitesse moyenne </t>
    <phoneticPr fontId="2" type="noConversion"/>
  </si>
  <si>
    <t xml:space="preserve">Maison moyenne </t>
    <phoneticPr fontId="2" type="noConversion"/>
  </si>
  <si>
    <t xml:space="preserve">4000 kWh elec </t>
    <phoneticPr fontId="2" type="noConversion"/>
  </si>
  <si>
    <t xml:space="preserve">20000 kWh gaz </t>
    <phoneticPr fontId="2" type="noConversion"/>
  </si>
  <si>
    <t>heures amorties :</t>
    <phoneticPr fontId="2" type="noConversion"/>
  </si>
  <si>
    <t xml:space="preserve">Dormir, Manger, se laver, Famille, TV Lecture </t>
    <phoneticPr fontId="2" type="noConversion"/>
  </si>
  <si>
    <t xml:space="preserve">100 m2 - amorti 20 ans </t>
    <phoneticPr fontId="2" type="noConversion"/>
  </si>
  <si>
    <t xml:space="preserve">Véhicule  à 160 g CO2 / km </t>
    <phoneticPr fontId="2" type="noConversion"/>
  </si>
  <si>
    <t xml:space="preserve">vmoy de 45 km/h </t>
    <phoneticPr fontId="2" type="noConversion"/>
  </si>
  <si>
    <t xml:space="preserve">donc </t>
    <phoneticPr fontId="2" type="noConversion"/>
  </si>
  <si>
    <t xml:space="preserve">g CO2 / h </t>
    <phoneticPr fontId="2" type="noConversion"/>
  </si>
  <si>
    <t xml:space="preserve">g CO2 / min </t>
    <phoneticPr fontId="2" type="noConversion"/>
  </si>
  <si>
    <t xml:space="preserve">Tx occ moyen </t>
    <phoneticPr fontId="2" type="noConversion"/>
  </si>
  <si>
    <t xml:space="preserve">G cO2 / pers.min </t>
    <phoneticPr fontId="2" type="noConversion"/>
  </si>
  <si>
    <t>m2</t>
    <phoneticPr fontId="2" type="noConversion"/>
  </si>
  <si>
    <t xml:space="preserve">KwH elec </t>
    <phoneticPr fontId="2" type="noConversion"/>
  </si>
  <si>
    <t xml:space="preserve">KWh Gaz </t>
    <phoneticPr fontId="2" type="noConversion"/>
  </si>
</sst>
</file>

<file path=xl/styles.xml><?xml version="1.0" encoding="utf-8"?>
<styleSheet xmlns="http://schemas.openxmlformats.org/spreadsheetml/2006/main">
  <numFmts count="15">
    <numFmt numFmtId="164" formatCode="0.0000"/>
    <numFmt numFmtId="165" formatCode="0.0000"/>
    <numFmt numFmtId="166" formatCode="0.000"/>
    <numFmt numFmtId="167" formatCode="0.00"/>
    <numFmt numFmtId="168" formatCode="0.0"/>
    <numFmt numFmtId="169" formatCode="0"/>
    <numFmt numFmtId="171" formatCode="#,##0.00"/>
    <numFmt numFmtId="172" formatCode="0.00000"/>
    <numFmt numFmtId="174" formatCode="0.00000000"/>
    <numFmt numFmtId="178" formatCode="#,##0"/>
    <numFmt numFmtId="180" formatCode="0.00"/>
    <numFmt numFmtId="181" formatCode="0.000"/>
    <numFmt numFmtId="183" formatCode="#,##0.00"/>
    <numFmt numFmtId="186" formatCode="0.0%"/>
    <numFmt numFmtId="187" formatCode="0.0%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sz val="10"/>
      <color indexed="206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71" fontId="0" fillId="0" borderId="0" xfId="0" applyNumberFormat="1" applyAlignment="1">
      <alignment horizontal="center"/>
    </xf>
    <xf numFmtId="181" fontId="0" fillId="0" borderId="0" xfId="0" applyNumberFormat="1"/>
    <xf numFmtId="171" fontId="1" fillId="0" borderId="0" xfId="0" applyNumberFormat="1" applyFont="1" applyAlignment="1">
      <alignment horizontal="center"/>
    </xf>
    <xf numFmtId="0" fontId="1" fillId="2" borderId="0" xfId="0" applyFont="1" applyFill="1"/>
    <xf numFmtId="0" fontId="0" fillId="2" borderId="0" xfId="0" applyFill="1"/>
    <xf numFmtId="169" fontId="1" fillId="2" borderId="0" xfId="0" applyNumberFormat="1" applyFont="1" applyFill="1"/>
    <xf numFmtId="178" fontId="0" fillId="2" borderId="0" xfId="0" applyNumberFormat="1" applyFill="1"/>
    <xf numFmtId="168" fontId="0" fillId="2" borderId="0" xfId="0" applyNumberFormat="1" applyFill="1"/>
    <xf numFmtId="167" fontId="0" fillId="2" borderId="0" xfId="0" applyNumberFormat="1" applyFill="1"/>
    <xf numFmtId="166" fontId="0" fillId="2" borderId="0" xfId="0" applyNumberFormat="1" applyFill="1"/>
    <xf numFmtId="167" fontId="1" fillId="2" borderId="0" xfId="0" applyNumberFormat="1" applyFont="1" applyFill="1"/>
    <xf numFmtId="9" fontId="1" fillId="2" borderId="0" xfId="0" applyNumberFormat="1" applyFont="1" applyFill="1"/>
    <xf numFmtId="165" fontId="1" fillId="2" borderId="0" xfId="0" applyNumberFormat="1" applyFont="1" applyFill="1"/>
    <xf numFmtId="180" fontId="0" fillId="2" borderId="0" xfId="0" applyNumberFormat="1" applyFill="1"/>
    <xf numFmtId="0" fontId="0" fillId="6" borderId="0" xfId="0" applyFill="1"/>
    <xf numFmtId="0" fontId="1" fillId="6" borderId="0" xfId="0" applyFont="1" applyFill="1"/>
    <xf numFmtId="186" fontId="0" fillId="0" borderId="0" xfId="0" applyNumberFormat="1" applyAlignment="1">
      <alignment horizontal="center"/>
    </xf>
    <xf numFmtId="186" fontId="0" fillId="3" borderId="0" xfId="0" applyNumberFormat="1" applyFill="1" applyAlignment="1">
      <alignment horizontal="center"/>
    </xf>
    <xf numFmtId="186" fontId="0" fillId="4" borderId="0" xfId="0" applyNumberFormat="1" applyFill="1" applyAlignment="1">
      <alignment horizontal="center"/>
    </xf>
    <xf numFmtId="186" fontId="0" fillId="5" borderId="0" xfId="0" applyNumberFormat="1" applyFill="1" applyAlignment="1">
      <alignment horizontal="center"/>
    </xf>
    <xf numFmtId="183" fontId="1" fillId="0" borderId="0" xfId="0" applyNumberFormat="1" applyFont="1"/>
    <xf numFmtId="187" fontId="1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N145"/>
  <sheetViews>
    <sheetView tabSelected="1" workbookViewId="0">
      <selection activeCell="I78" sqref="I78"/>
    </sheetView>
  </sheetViews>
  <sheetFormatPr baseColWidth="10" defaultRowHeight="13"/>
  <cols>
    <col min="1" max="1" width="22.28515625" customWidth="1"/>
    <col min="2" max="2" width="25.5703125" customWidth="1"/>
    <col min="8" max="8" width="12.28515625" bestFit="1" customWidth="1"/>
    <col min="9" max="9" width="14.7109375" customWidth="1"/>
  </cols>
  <sheetData>
    <row r="4" spans="1:11">
      <c r="H4" s="1" t="s">
        <v>94</v>
      </c>
    </row>
    <row r="6" spans="1:11">
      <c r="D6" t="s">
        <v>88</v>
      </c>
      <c r="E6" t="s">
        <v>89</v>
      </c>
      <c r="F6" t="s">
        <v>90</v>
      </c>
      <c r="G6" t="s">
        <v>29</v>
      </c>
      <c r="H6" t="s">
        <v>91</v>
      </c>
      <c r="I6" t="s">
        <v>92</v>
      </c>
      <c r="J6" t="s">
        <v>2</v>
      </c>
      <c r="K6" t="s">
        <v>3</v>
      </c>
    </row>
    <row r="7" spans="1:11">
      <c r="A7" t="s">
        <v>113</v>
      </c>
      <c r="B7" t="s">
        <v>125</v>
      </c>
      <c r="D7">
        <f>9*60+3</f>
        <v>543</v>
      </c>
      <c r="E7">
        <f>D7+7</f>
        <v>550</v>
      </c>
      <c r="F7">
        <f>D7-5</f>
        <v>538</v>
      </c>
      <c r="G7" s="3">
        <f>J71</f>
        <v>2.8812531837847681E-3</v>
      </c>
      <c r="H7" s="2">
        <f t="shared" ref="H7:H16" si="0">G7*E7</f>
        <v>1.5846892510816224</v>
      </c>
      <c r="I7" s="2">
        <f t="shared" ref="I7:I16" si="1">G7*F7</f>
        <v>1.5501142128762053</v>
      </c>
      <c r="J7" s="18">
        <f>H7/H$20</f>
        <v>4.9070020143730755E-2</v>
      </c>
      <c r="K7" s="18">
        <f>I7/I$20</f>
        <v>3.9460136273934236E-2</v>
      </c>
    </row>
    <row r="8" spans="1:11">
      <c r="A8" t="s">
        <v>114</v>
      </c>
      <c r="B8" t="s">
        <v>126</v>
      </c>
      <c r="D8">
        <f>3*60+1</f>
        <v>181</v>
      </c>
      <c r="E8">
        <f>D8</f>
        <v>181</v>
      </c>
      <c r="F8">
        <f>E8-1</f>
        <v>180</v>
      </c>
      <c r="G8" s="3">
        <f>H42</f>
        <v>1.2942220501153652E-2</v>
      </c>
      <c r="H8" s="2">
        <f>G8*E8+E8*G55</f>
        <v>6.7869863551532559</v>
      </c>
      <c r="I8" s="2">
        <f>G8*F8+F8*G56</f>
        <v>7.9772362770707632</v>
      </c>
      <c r="J8" s="19">
        <f t="shared" ref="J8:K18" si="2">H8/H$20</f>
        <v>0.21015953565361967</v>
      </c>
      <c r="K8" s="20">
        <f t="shared" si="2"/>
        <v>0.20307073373549103</v>
      </c>
    </row>
    <row r="9" spans="1:11">
      <c r="A9" t="s">
        <v>115</v>
      </c>
      <c r="B9" t="s">
        <v>127</v>
      </c>
      <c r="D9">
        <f>120+34</f>
        <v>154</v>
      </c>
      <c r="E9">
        <f>60+55</f>
        <v>115</v>
      </c>
      <c r="F9">
        <f>180+16</f>
        <v>196</v>
      </c>
      <c r="G9" s="3">
        <f>J$76</f>
        <v>5.3972894949666839E-2</v>
      </c>
      <c r="H9" s="2">
        <f t="shared" si="0"/>
        <v>6.2068829192116866</v>
      </c>
      <c r="I9" s="2">
        <f t="shared" si="1"/>
        <v>10.5786874101347</v>
      </c>
      <c r="J9" s="21">
        <f t="shared" si="2"/>
        <v>0.19219658975260398</v>
      </c>
      <c r="K9" s="19">
        <f t="shared" si="2"/>
        <v>0.26929399352369199</v>
      </c>
    </row>
    <row r="10" spans="1:11">
      <c r="A10" t="s">
        <v>116</v>
      </c>
      <c r="B10" t="s">
        <v>128</v>
      </c>
      <c r="D10">
        <v>30</v>
      </c>
      <c r="E10">
        <v>30</v>
      </c>
      <c r="F10">
        <v>31</v>
      </c>
      <c r="G10" s="3">
        <f>G9</f>
        <v>5.3972894949666839E-2</v>
      </c>
      <c r="H10" s="2">
        <f t="shared" si="0"/>
        <v>1.6191868484900052</v>
      </c>
      <c r="I10" s="2">
        <f t="shared" si="1"/>
        <v>1.6731597434396721</v>
      </c>
      <c r="J10" s="18">
        <f t="shared" si="2"/>
        <v>5.0138240805027122E-2</v>
      </c>
      <c r="K10" s="18">
        <f t="shared" si="2"/>
        <v>4.2592417343032915E-2</v>
      </c>
    </row>
    <row r="11" spans="1:11">
      <c r="A11" t="s">
        <v>117</v>
      </c>
      <c r="B11" t="s">
        <v>129</v>
      </c>
      <c r="D11">
        <f>197</f>
        <v>197</v>
      </c>
      <c r="E11">
        <f>4*60+13</f>
        <v>253</v>
      </c>
      <c r="F11">
        <f>2*60+16</f>
        <v>136</v>
      </c>
      <c r="G11" s="3">
        <f>H42</f>
        <v>1.2942220501153652E-2</v>
      </c>
      <c r="H11" s="2">
        <f t="shared" si="0"/>
        <v>3.2743817867918739</v>
      </c>
      <c r="I11" s="2">
        <f t="shared" si="1"/>
        <v>1.7601419881568967</v>
      </c>
      <c r="J11" s="18">
        <f t="shared" si="2"/>
        <v>0.10139147478060766</v>
      </c>
      <c r="K11" s="18">
        <f t="shared" si="2"/>
        <v>4.4806661429980396E-2</v>
      </c>
    </row>
    <row r="12" spans="1:11">
      <c r="A12" t="s">
        <v>118</v>
      </c>
      <c r="D12">
        <v>13</v>
      </c>
      <c r="E12">
        <v>12</v>
      </c>
      <c r="F12">
        <v>15</v>
      </c>
      <c r="G12" s="3">
        <f>G9</f>
        <v>5.3972894949666839E-2</v>
      </c>
      <c r="H12" s="2">
        <f t="shared" si="0"/>
        <v>0.64767473939600206</v>
      </c>
      <c r="I12" s="2">
        <f t="shared" si="1"/>
        <v>0.80959342424500258</v>
      </c>
      <c r="J12" s="18">
        <f t="shared" si="2"/>
        <v>2.0055296322010849E-2</v>
      </c>
      <c r="K12" s="18">
        <f t="shared" si="2"/>
        <v>2.0609234198241733E-2</v>
      </c>
    </row>
    <row r="13" spans="1:11">
      <c r="A13" t="s">
        <v>119</v>
      </c>
      <c r="B13" t="s">
        <v>130</v>
      </c>
      <c r="D13">
        <v>55</v>
      </c>
      <c r="E13">
        <v>55</v>
      </c>
      <c r="F13">
        <v>54</v>
      </c>
      <c r="G13" s="3">
        <f>G7</f>
        <v>2.8812531837847681E-3</v>
      </c>
      <c r="H13" s="2">
        <f t="shared" si="0"/>
        <v>0.15846892510816224</v>
      </c>
      <c r="I13" s="2">
        <f t="shared" si="1"/>
        <v>0.15558767192437747</v>
      </c>
      <c r="J13" s="18">
        <f t="shared" si="2"/>
        <v>4.9070020143730754E-3</v>
      </c>
      <c r="K13" s="18">
        <f t="shared" si="2"/>
        <v>3.960682823034291E-3</v>
      </c>
    </row>
    <row r="14" spans="1:11">
      <c r="A14" t="s">
        <v>120</v>
      </c>
      <c r="B14" t="s">
        <v>131</v>
      </c>
      <c r="D14">
        <v>53</v>
      </c>
      <c r="E14">
        <v>41</v>
      </c>
      <c r="F14">
        <v>66</v>
      </c>
      <c r="G14" s="3">
        <f>G9</f>
        <v>5.3972894949666839E-2</v>
      </c>
      <c r="H14" s="2">
        <f t="shared" si="0"/>
        <v>2.2128886929363403</v>
      </c>
      <c r="I14" s="2">
        <f t="shared" si="1"/>
        <v>3.5622110666780111</v>
      </c>
      <c r="J14" s="18">
        <f t="shared" si="2"/>
        <v>6.8522262433537068E-2</v>
      </c>
      <c r="K14" s="18">
        <f t="shared" si="2"/>
        <v>9.0680630472263615E-2</v>
      </c>
    </row>
    <row r="15" spans="1:11">
      <c r="A15" t="s">
        <v>121</v>
      </c>
      <c r="B15" t="s">
        <v>132</v>
      </c>
      <c r="D15">
        <v>127</v>
      </c>
      <c r="E15">
        <v>122</v>
      </c>
      <c r="F15">
        <v>132</v>
      </c>
      <c r="G15" s="3">
        <f>H42+I102</f>
        <v>1.8766834890108459E-2</v>
      </c>
      <c r="H15" s="2">
        <f t="shared" si="0"/>
        <v>2.2895538565932321</v>
      </c>
      <c r="I15" s="2">
        <f t="shared" si="1"/>
        <v>2.4772222054943165</v>
      </c>
      <c r="J15" s="18">
        <f t="shared" si="2"/>
        <v>7.0896204909892221E-2</v>
      </c>
      <c r="K15" s="18">
        <f t="shared" si="2"/>
        <v>6.3060853837502526E-2</v>
      </c>
    </row>
    <row r="16" spans="1:11">
      <c r="A16" t="s">
        <v>122</v>
      </c>
      <c r="B16" t="s">
        <v>132</v>
      </c>
      <c r="D16">
        <v>29</v>
      </c>
      <c r="E16">
        <v>28</v>
      </c>
      <c r="F16">
        <v>30</v>
      </c>
      <c r="G16" s="3">
        <f>H42+I103+F116</f>
        <v>2.7727293717969902E-2</v>
      </c>
      <c r="H16" s="2">
        <f t="shared" si="0"/>
        <v>0.77636422410315731</v>
      </c>
      <c r="I16" s="2">
        <f t="shared" si="1"/>
        <v>0.83181881153909709</v>
      </c>
      <c r="J16" s="18">
        <f t="shared" si="2"/>
        <v>2.4040175756610601E-2</v>
      </c>
      <c r="K16" s="18">
        <f t="shared" si="2"/>
        <v>2.1175009806310412E-2</v>
      </c>
    </row>
    <row r="17" spans="1:14">
      <c r="A17" t="s">
        <v>123</v>
      </c>
      <c r="B17" t="s">
        <v>133</v>
      </c>
      <c r="D17">
        <v>55</v>
      </c>
      <c r="E17">
        <v>51</v>
      </c>
      <c r="F17">
        <v>60</v>
      </c>
      <c r="G17" s="3">
        <f>L75</f>
        <v>0.12998873272845873</v>
      </c>
      <c r="H17" s="2">
        <f>G17*E17</f>
        <v>6.6294253691513951</v>
      </c>
      <c r="I17" s="2">
        <f>G17*F17</f>
        <v>7.7993239637075238</v>
      </c>
      <c r="J17" s="20">
        <f t="shared" si="2"/>
        <v>0.20528064804098503</v>
      </c>
      <c r="K17" s="21">
        <f t="shared" si="2"/>
        <v>0.19854174866341814</v>
      </c>
    </row>
    <row r="18" spans="1:14">
      <c r="A18" t="s">
        <v>124</v>
      </c>
      <c r="D18">
        <v>3</v>
      </c>
      <c r="E18">
        <v>2</v>
      </c>
      <c r="F18">
        <v>2</v>
      </c>
      <c r="G18" s="3">
        <f>G9</f>
        <v>5.3972894949666839E-2</v>
      </c>
      <c r="H18" s="2">
        <f t="shared" ref="H18" si="3">G18*E18</f>
        <v>0.10794578989933368</v>
      </c>
      <c r="I18" s="2">
        <f t="shared" ref="I18" si="4">G18*F18</f>
        <v>0.10794578989933368</v>
      </c>
      <c r="J18" s="18">
        <f t="shared" si="2"/>
        <v>3.3425493870018084E-3</v>
      </c>
      <c r="K18" s="18">
        <f t="shared" si="2"/>
        <v>2.7478978930988978E-3</v>
      </c>
    </row>
    <row r="19" spans="1:14">
      <c r="D19">
        <f>SUM(D7:D18)</f>
        <v>1440</v>
      </c>
      <c r="H19" s="2"/>
      <c r="I19" s="2"/>
    </row>
    <row r="20" spans="1:14" s="1" customFormat="1">
      <c r="B20" s="1" t="s">
        <v>76</v>
      </c>
      <c r="H20" s="4">
        <f>SUM(H7:H18)</f>
        <v>32.294448757916072</v>
      </c>
      <c r="I20" s="4">
        <f>SUM(I7:I18)</f>
        <v>39.283042565165893</v>
      </c>
      <c r="J20" s="22">
        <f>I20-H20</f>
        <v>6.9885938072498206</v>
      </c>
      <c r="K20" s="23">
        <f>J20/I20</f>
        <v>0.17790357749546959</v>
      </c>
    </row>
    <row r="21" spans="1:14">
      <c r="H21" s="2"/>
      <c r="I21" s="2"/>
    </row>
    <row r="22" spans="1:14">
      <c r="B22" t="s">
        <v>37</v>
      </c>
      <c r="H22" s="2">
        <f>(64.6-12)*1000000</f>
        <v>52599999.999999993</v>
      </c>
      <c r="I22" s="2"/>
    </row>
    <row r="23" spans="1:14">
      <c r="A23" t="s">
        <v>32</v>
      </c>
      <c r="B23" t="s">
        <v>33</v>
      </c>
      <c r="H23" s="2">
        <f>H20*365</f>
        <v>11787.473796639366</v>
      </c>
      <c r="I23" s="2">
        <f>I20*365</f>
        <v>14338.310536285551</v>
      </c>
    </row>
    <row r="24" spans="1:14">
      <c r="B24" t="s">
        <v>34</v>
      </c>
      <c r="H24" s="2">
        <f>H23*H22/1000/1000000*53%</f>
        <v>328.61119450271224</v>
      </c>
      <c r="I24" s="2">
        <f>I23*H22*47%/1000000/1000</f>
        <v>354.47171307805132</v>
      </c>
    </row>
    <row r="25" spans="1:14">
      <c r="H25" s="4">
        <f>H24+I24</f>
        <v>683.0829075807635</v>
      </c>
      <c r="I25" s="2"/>
    </row>
    <row r="26" spans="1:14">
      <c r="H26" s="2"/>
      <c r="I26" s="2"/>
    </row>
    <row r="27" spans="1:14">
      <c r="H27" s="2"/>
      <c r="I27" s="2"/>
    </row>
    <row r="28" spans="1:14">
      <c r="H28" s="2"/>
      <c r="I28" s="2"/>
    </row>
    <row r="29" spans="1:14">
      <c r="H29" s="2"/>
      <c r="I29" s="2"/>
    </row>
    <row r="31" spans="1:14">
      <c r="A31" s="5" t="s">
        <v>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>
      <c r="A33" s="6" t="s">
        <v>134</v>
      </c>
      <c r="B33" s="6"/>
      <c r="C33" s="6"/>
      <c r="D33" s="6"/>
      <c r="E33" s="6"/>
      <c r="F33" s="6" t="s">
        <v>73</v>
      </c>
      <c r="G33" s="6" t="s">
        <v>74</v>
      </c>
      <c r="H33" s="6" t="s">
        <v>75</v>
      </c>
      <c r="I33" s="6"/>
      <c r="J33" s="6"/>
      <c r="K33" s="6"/>
      <c r="L33" s="6"/>
      <c r="M33" s="6"/>
      <c r="N33" s="6"/>
    </row>
    <row r="34" spans="1:14">
      <c r="A34" s="6" t="s">
        <v>139</v>
      </c>
      <c r="B34" s="6"/>
      <c r="C34" s="6"/>
      <c r="D34" s="6">
        <v>100</v>
      </c>
      <c r="E34" s="6" t="s">
        <v>147</v>
      </c>
      <c r="F34" s="6">
        <f>128*44/12</f>
        <v>469.33333333333331</v>
      </c>
      <c r="G34" s="6">
        <v>20</v>
      </c>
      <c r="H34" s="6">
        <f>F34/G34</f>
        <v>23.466666666666665</v>
      </c>
      <c r="I34" s="6"/>
      <c r="J34" s="6"/>
      <c r="K34" s="6"/>
      <c r="L34" s="6"/>
      <c r="M34" s="6"/>
      <c r="N34" s="6"/>
    </row>
    <row r="35" spans="1:14">
      <c r="A35" s="6" t="s">
        <v>135</v>
      </c>
      <c r="B35" s="6"/>
      <c r="C35" s="6"/>
      <c r="D35" s="6">
        <v>4000</v>
      </c>
      <c r="E35" s="6" t="s">
        <v>148</v>
      </c>
      <c r="F35" s="6">
        <f>0.023*44/12</f>
        <v>8.433333333333333E-2</v>
      </c>
      <c r="G35" s="6"/>
      <c r="H35" s="6">
        <f>D35*F35</f>
        <v>337.33333333333331</v>
      </c>
      <c r="I35" s="6"/>
      <c r="J35" s="6"/>
      <c r="K35" s="6"/>
      <c r="L35" s="6"/>
      <c r="M35" s="6"/>
      <c r="N35" s="6"/>
    </row>
    <row r="36" spans="1:14">
      <c r="A36" s="6" t="s">
        <v>136</v>
      </c>
      <c r="B36" s="6"/>
      <c r="C36" s="6"/>
      <c r="D36" s="6">
        <v>20000</v>
      </c>
      <c r="E36" s="6" t="s">
        <v>149</v>
      </c>
      <c r="F36" s="6">
        <f>0.068*44/12</f>
        <v>0.24933333333333332</v>
      </c>
      <c r="G36" s="6"/>
      <c r="H36" s="6">
        <f>D36*F36</f>
        <v>4986.6666666666661</v>
      </c>
      <c r="I36" s="6"/>
      <c r="J36" s="6"/>
      <c r="K36" s="6"/>
      <c r="L36" s="6"/>
      <c r="M36" s="6"/>
      <c r="N36" s="6"/>
    </row>
    <row r="37" spans="1:14">
      <c r="A37" s="6"/>
      <c r="B37" s="6"/>
      <c r="C37" s="6"/>
      <c r="D37" s="6"/>
      <c r="E37" s="6"/>
      <c r="F37" s="6"/>
      <c r="G37" s="5" t="s">
        <v>76</v>
      </c>
      <c r="H37" s="7">
        <f>H34+H35+H36</f>
        <v>5347.4666666666662</v>
      </c>
      <c r="I37" s="8"/>
      <c r="J37" s="6"/>
      <c r="K37" s="6"/>
      <c r="L37" s="6"/>
      <c r="M37" s="6"/>
      <c r="N37" s="6"/>
    </row>
    <row r="38" spans="1:14">
      <c r="A38" s="6" t="s">
        <v>137</v>
      </c>
      <c r="B38" s="6" t="s">
        <v>138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>
      <c r="A39" s="6"/>
      <c r="B39" s="6"/>
      <c r="C39" s="6"/>
      <c r="D39" s="6"/>
      <c r="E39" s="6"/>
      <c r="F39" s="6"/>
      <c r="G39" s="6" t="s">
        <v>87</v>
      </c>
      <c r="H39" s="6">
        <f>D7+D8+D11+D15+D16+D13</f>
        <v>1132</v>
      </c>
      <c r="I39" s="6" t="s">
        <v>95</v>
      </c>
      <c r="J39" s="6"/>
      <c r="K39" s="6"/>
      <c r="L39" s="6"/>
      <c r="M39" s="6"/>
      <c r="N39" s="6"/>
    </row>
    <row r="40" spans="1:14">
      <c r="A40" s="6"/>
      <c r="B40" s="6"/>
      <c r="C40" s="6"/>
      <c r="D40" s="6"/>
      <c r="E40" s="6"/>
      <c r="F40" s="6"/>
      <c r="G40" s="6" t="s">
        <v>96</v>
      </c>
      <c r="H40" s="6">
        <f>H37/365</f>
        <v>14.650593607305934</v>
      </c>
      <c r="I40" s="6"/>
      <c r="J40" s="6"/>
      <c r="K40" s="6"/>
      <c r="L40" s="6"/>
      <c r="M40" s="6"/>
      <c r="N40" s="6"/>
    </row>
    <row r="41" spans="1:14">
      <c r="A41" s="6" t="s">
        <v>123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>
      <c r="A42" s="6"/>
      <c r="B42" s="6"/>
      <c r="C42" s="6"/>
      <c r="D42" s="6"/>
      <c r="E42" s="6"/>
      <c r="F42" s="6"/>
      <c r="G42" s="5" t="s">
        <v>97</v>
      </c>
      <c r="H42" s="5">
        <f>H40/H39</f>
        <v>1.2942220501153652E-2</v>
      </c>
      <c r="I42" s="5" t="s">
        <v>98</v>
      </c>
      <c r="J42" s="6"/>
      <c r="K42" s="6"/>
      <c r="L42" s="6"/>
      <c r="M42" s="6"/>
      <c r="N42" s="6"/>
    </row>
    <row r="43" spans="1:14">
      <c r="A43" s="6" t="s">
        <v>140</v>
      </c>
      <c r="B43" s="6">
        <f>160*1.25</f>
        <v>200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>
      <c r="A44" s="6" t="s">
        <v>141</v>
      </c>
      <c r="B44" s="6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>
      <c r="A45" s="6" t="s">
        <v>142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6">
        <f>B43*B44/100</f>
        <v>90</v>
      </c>
      <c r="B46" s="6" t="s">
        <v>143</v>
      </c>
      <c r="C46" s="6"/>
      <c r="D46" s="6"/>
      <c r="E46" s="6"/>
      <c r="F46" s="5" t="s">
        <v>99</v>
      </c>
      <c r="G46" s="6"/>
      <c r="H46" s="6"/>
      <c r="I46" s="6"/>
      <c r="J46" s="6"/>
      <c r="K46" s="6"/>
      <c r="L46" s="6"/>
      <c r="M46" s="6"/>
      <c r="N46" s="6"/>
    </row>
    <row r="47" spans="1:14">
      <c r="A47" s="6">
        <f>A46/60</f>
        <v>1.5</v>
      </c>
      <c r="B47" s="6" t="s">
        <v>144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>
      <c r="A48" s="6">
        <v>1.2</v>
      </c>
      <c r="B48" s="6" t="s">
        <v>145</v>
      </c>
      <c r="C48" s="6"/>
      <c r="D48" s="6"/>
      <c r="E48" s="6"/>
      <c r="F48" s="6" t="s">
        <v>100</v>
      </c>
      <c r="G48" s="6">
        <v>1800</v>
      </c>
      <c r="H48" s="6" t="s">
        <v>101</v>
      </c>
      <c r="I48" s="6"/>
      <c r="J48" s="6"/>
      <c r="K48" s="6"/>
      <c r="L48" s="6"/>
      <c r="M48" s="6"/>
      <c r="N48" s="6"/>
    </row>
    <row r="49" spans="1:14">
      <c r="A49" s="6">
        <f>A47/A48</f>
        <v>1.25</v>
      </c>
      <c r="B49" s="6" t="s">
        <v>146</v>
      </c>
      <c r="C49" s="6"/>
      <c r="D49" s="6"/>
      <c r="E49" s="6"/>
      <c r="F49" s="6" t="s">
        <v>102</v>
      </c>
      <c r="G49" s="6">
        <v>2300</v>
      </c>
      <c r="H49" s="6" t="s">
        <v>103</v>
      </c>
      <c r="I49" s="6">
        <f>G48*55%+G49*45%</f>
        <v>2025</v>
      </c>
      <c r="J49" s="6"/>
      <c r="K49" s="6"/>
      <c r="L49" s="6"/>
      <c r="M49" s="6"/>
      <c r="N49" s="6"/>
    </row>
    <row r="50" spans="1:1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>
      <c r="A51" s="6"/>
      <c r="B51" s="6"/>
      <c r="C51" s="6"/>
      <c r="D51" s="6"/>
      <c r="E51" s="6"/>
      <c r="F51" s="6" t="s">
        <v>104</v>
      </c>
      <c r="G51" s="6"/>
      <c r="H51" s="6"/>
      <c r="I51" s="6"/>
      <c r="J51" s="6"/>
      <c r="K51" s="6"/>
      <c r="L51" s="6"/>
      <c r="M51" s="6"/>
      <c r="N51" s="6"/>
    </row>
    <row r="52" spans="1:14">
      <c r="A52" s="6" t="s">
        <v>77</v>
      </c>
      <c r="B52" s="6">
        <v>13000</v>
      </c>
      <c r="C52" s="6" t="s">
        <v>78</v>
      </c>
      <c r="D52" s="6"/>
      <c r="E52" s="6"/>
      <c r="F52" s="6" t="s">
        <v>105</v>
      </c>
      <c r="G52" s="6">
        <v>2</v>
      </c>
      <c r="H52" s="6" t="s">
        <v>106</v>
      </c>
      <c r="I52" s="6"/>
      <c r="J52" s="6"/>
      <c r="K52" s="6"/>
      <c r="L52" s="6"/>
      <c r="M52" s="6"/>
      <c r="N52" s="6"/>
    </row>
    <row r="53" spans="1:14">
      <c r="A53" s="6"/>
      <c r="B53" s="6">
        <v>0.5</v>
      </c>
      <c r="C53" s="6" t="s">
        <v>79</v>
      </c>
      <c r="D53" s="6"/>
      <c r="E53" s="6"/>
      <c r="F53" s="6" t="s">
        <v>107</v>
      </c>
      <c r="G53" s="6">
        <f>G52*2.5</f>
        <v>5</v>
      </c>
      <c r="H53" s="6" t="s">
        <v>108</v>
      </c>
      <c r="I53" s="6"/>
      <c r="J53" s="6"/>
      <c r="K53" s="6"/>
      <c r="L53" s="6"/>
      <c r="M53" s="6"/>
      <c r="N53" s="6"/>
    </row>
    <row r="54" spans="1:14">
      <c r="A54" s="6"/>
      <c r="B54" s="6">
        <f>B52*B53</f>
        <v>6500</v>
      </c>
      <c r="C54" s="6" t="s">
        <v>80</v>
      </c>
      <c r="D54" s="6"/>
      <c r="E54" s="6"/>
      <c r="F54" s="5" t="s">
        <v>109</v>
      </c>
      <c r="G54" s="5">
        <f>G53/D8</f>
        <v>2.7624309392265192E-2</v>
      </c>
      <c r="H54" s="5" t="s">
        <v>110</v>
      </c>
      <c r="I54" s="6"/>
      <c r="J54" s="6"/>
      <c r="K54" s="6"/>
      <c r="L54" s="6"/>
      <c r="M54" s="6"/>
      <c r="N54" s="6"/>
    </row>
    <row r="55" spans="1:14">
      <c r="A55" s="6"/>
      <c r="B55" s="6">
        <f>55/60</f>
        <v>0.91666666666666663</v>
      </c>
      <c r="C55" s="6" t="s">
        <v>81</v>
      </c>
      <c r="D55" s="6"/>
      <c r="E55" s="6"/>
      <c r="F55" s="6" t="s">
        <v>35</v>
      </c>
      <c r="G55" s="5">
        <f>G54*G48/I49</f>
        <v>2.4554941682013505E-2</v>
      </c>
      <c r="H55" s="6"/>
      <c r="I55" s="6"/>
      <c r="J55" s="6"/>
      <c r="K55" s="6"/>
      <c r="L55" s="6"/>
      <c r="M55" s="6"/>
      <c r="N55" s="6"/>
    </row>
    <row r="56" spans="1:14">
      <c r="A56" s="6"/>
      <c r="B56" s="6">
        <f>B55*365</f>
        <v>334.58333333333331</v>
      </c>
      <c r="C56" s="6" t="s">
        <v>82</v>
      </c>
      <c r="D56" s="6"/>
      <c r="E56" s="6"/>
      <c r="F56" s="6" t="s">
        <v>36</v>
      </c>
      <c r="G56" s="5">
        <f>G54*G49/I49</f>
        <v>3.1375758815906145E-2</v>
      </c>
      <c r="H56" s="6"/>
      <c r="I56" s="6"/>
      <c r="J56" s="6"/>
      <c r="K56" s="6"/>
      <c r="L56" s="6"/>
      <c r="M56" s="6"/>
      <c r="N56" s="6"/>
    </row>
    <row r="57" spans="1:14">
      <c r="A57" s="6"/>
      <c r="B57" s="6">
        <f>B54/B56</f>
        <v>19.427148194271481</v>
      </c>
      <c r="C57" s="6" t="s">
        <v>83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A58" s="6"/>
      <c r="B58" s="6"/>
      <c r="C58" s="6"/>
      <c r="D58" s="6"/>
      <c r="E58" s="6"/>
      <c r="F58" s="5" t="s">
        <v>42</v>
      </c>
      <c r="G58" s="6"/>
      <c r="H58" s="6"/>
      <c r="I58" s="6"/>
      <c r="J58" s="6"/>
      <c r="K58" s="6"/>
      <c r="L58" s="6"/>
      <c r="M58" s="6"/>
      <c r="N58" s="6"/>
    </row>
    <row r="59" spans="1:14">
      <c r="A59" s="6"/>
      <c r="B59" s="6">
        <f>B54*B43/1000</f>
        <v>1300</v>
      </c>
      <c r="C59" s="6" t="s">
        <v>84</v>
      </c>
      <c r="D59" s="6"/>
      <c r="E59" s="6"/>
      <c r="F59" s="6">
        <v>12</v>
      </c>
      <c r="G59" s="6" t="s">
        <v>111</v>
      </c>
      <c r="H59" s="6"/>
      <c r="I59" s="6"/>
      <c r="J59" s="6"/>
      <c r="K59" s="6"/>
      <c r="L59" s="6"/>
      <c r="M59" s="6"/>
      <c r="N59" s="6"/>
    </row>
    <row r="60" spans="1:14">
      <c r="A60" s="6"/>
      <c r="B60" s="6">
        <f>B59*0.51/0.6/B55</f>
        <v>1205.4545454545455</v>
      </c>
      <c r="C60" s="6" t="s">
        <v>85</v>
      </c>
      <c r="D60" s="6"/>
      <c r="E60" s="6"/>
      <c r="F60" s="6">
        <v>148</v>
      </c>
      <c r="G60" s="6" t="s">
        <v>112</v>
      </c>
      <c r="H60" s="6"/>
      <c r="I60" s="6"/>
      <c r="J60" s="6"/>
      <c r="K60" s="6"/>
      <c r="L60" s="6"/>
      <c r="M60" s="6"/>
      <c r="N60" s="6"/>
    </row>
    <row r="61" spans="1:14">
      <c r="A61" s="6"/>
      <c r="B61" s="6">
        <f>B59*1/B55</f>
        <v>1418.1818181818182</v>
      </c>
      <c r="C61" s="6" t="s">
        <v>86</v>
      </c>
      <c r="D61" s="6"/>
      <c r="E61" s="6"/>
      <c r="F61" s="6">
        <v>121</v>
      </c>
      <c r="G61" s="6" t="s">
        <v>39</v>
      </c>
      <c r="H61" s="6"/>
      <c r="I61" s="6"/>
      <c r="J61" s="6"/>
      <c r="K61" s="6"/>
      <c r="L61" s="6"/>
      <c r="M61" s="6"/>
      <c r="N61" s="6"/>
    </row>
    <row r="62" spans="1:14">
      <c r="A62" s="6"/>
      <c r="B62" s="6"/>
      <c r="C62" s="6"/>
      <c r="D62" s="6"/>
      <c r="E62" s="6"/>
      <c r="F62" s="6">
        <v>0.1</v>
      </c>
      <c r="G62" s="6" t="s">
        <v>40</v>
      </c>
      <c r="H62" s="6"/>
      <c r="I62" s="6"/>
      <c r="J62" s="6"/>
      <c r="K62" s="6"/>
      <c r="L62" s="6"/>
      <c r="M62" s="6"/>
      <c r="N62" s="6"/>
    </row>
    <row r="63" spans="1:14">
      <c r="A63" s="6"/>
      <c r="B63" s="6">
        <f>B59/B56</f>
        <v>3.8854296388542968</v>
      </c>
      <c r="C63" s="6" t="s">
        <v>93</v>
      </c>
      <c r="D63" s="6"/>
      <c r="E63" s="6"/>
      <c r="F63" s="6">
        <v>5</v>
      </c>
      <c r="G63" s="6" t="s">
        <v>41</v>
      </c>
      <c r="H63" s="6"/>
      <c r="I63" s="6"/>
      <c r="J63" s="6"/>
      <c r="K63" s="6"/>
      <c r="L63" s="6"/>
      <c r="M63" s="6"/>
      <c r="N63" s="6"/>
    </row>
    <row r="64" spans="1:1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>
      <c r="A66" s="6"/>
      <c r="B66" s="6"/>
      <c r="C66" s="6"/>
      <c r="D66" s="6"/>
      <c r="E66" s="6"/>
      <c r="F66" s="6" t="s">
        <v>43</v>
      </c>
      <c r="G66" s="6"/>
      <c r="H66" s="6"/>
      <c r="I66" s="6"/>
      <c r="J66" s="6"/>
      <c r="K66" s="6"/>
      <c r="L66" s="6"/>
      <c r="M66" s="6"/>
      <c r="N66" s="6"/>
    </row>
    <row r="67" spans="1:14">
      <c r="A67" s="6"/>
      <c r="B67" s="6"/>
      <c r="C67" s="6"/>
      <c r="D67" s="6"/>
      <c r="E67" s="6"/>
      <c r="F67" s="6" t="s">
        <v>44</v>
      </c>
      <c r="G67" s="6"/>
      <c r="H67" s="6"/>
      <c r="I67" s="6"/>
      <c r="J67" s="6"/>
      <c r="K67" s="6"/>
      <c r="L67" s="6"/>
      <c r="M67" s="6"/>
      <c r="N67" s="6"/>
    </row>
    <row r="68" spans="1:14">
      <c r="A68" s="6"/>
      <c r="B68" s="6"/>
      <c r="C68" s="6"/>
      <c r="D68" s="6"/>
      <c r="E68" s="6"/>
      <c r="F68" s="6"/>
      <c r="G68" s="6" t="s">
        <v>49</v>
      </c>
      <c r="H68" s="6" t="s">
        <v>52</v>
      </c>
      <c r="I68" s="6" t="s">
        <v>54</v>
      </c>
      <c r="J68" s="6" t="s">
        <v>55</v>
      </c>
      <c r="K68" s="6"/>
      <c r="L68" s="6"/>
      <c r="M68" s="6"/>
      <c r="N68" s="6"/>
    </row>
    <row r="69" spans="1:14">
      <c r="A69" s="6"/>
      <c r="B69" s="6"/>
      <c r="C69" s="6"/>
      <c r="D69" s="6"/>
      <c r="E69" s="6"/>
      <c r="F69" s="6" t="s">
        <v>45</v>
      </c>
      <c r="G69" s="6">
        <v>68</v>
      </c>
      <c r="H69" s="9">
        <f>G69/G$77*1000</f>
        <v>1079.3650793650793</v>
      </c>
      <c r="I69" s="10">
        <f>H69/365</f>
        <v>2.9571646010002173</v>
      </c>
      <c r="J69" s="10">
        <f>I69/G$78</f>
        <v>1.1688397632411926E-2</v>
      </c>
      <c r="K69" s="10"/>
      <c r="L69" s="10"/>
      <c r="M69" s="10"/>
      <c r="N69" s="10"/>
    </row>
    <row r="70" spans="1:14">
      <c r="A70" s="6"/>
      <c r="B70" s="6"/>
      <c r="C70" s="6"/>
      <c r="D70" s="6"/>
      <c r="E70" s="6"/>
      <c r="F70" s="6" t="s">
        <v>46</v>
      </c>
      <c r="G70" s="6">
        <v>105</v>
      </c>
      <c r="H70" s="9">
        <f t="shared" ref="H70:H75" si="5">G70/G$77*1000</f>
        <v>1666.6666666666667</v>
      </c>
      <c r="I70" s="10">
        <f t="shared" ref="I70:I75" si="6">H70/365</f>
        <v>4.5662100456621006</v>
      </c>
      <c r="J70" s="10">
        <f t="shared" ref="J70:J75" si="7">I70/G$78</f>
        <v>1.804826105004783E-2</v>
      </c>
      <c r="K70" s="10"/>
      <c r="L70" s="10"/>
      <c r="M70" s="10"/>
      <c r="N70" s="10"/>
    </row>
    <row r="71" spans="1:14">
      <c r="A71" s="6"/>
      <c r="B71" s="6"/>
      <c r="C71" s="6"/>
      <c r="D71" s="6"/>
      <c r="E71" s="6"/>
      <c r="F71" s="6" t="s">
        <v>65</v>
      </c>
      <c r="G71" s="6">
        <f>100*(1-G91)</f>
        <v>75</v>
      </c>
      <c r="H71" s="9">
        <f>G71/G$77*1000</f>
        <v>1190.4761904761904</v>
      </c>
      <c r="I71" s="10">
        <f>H71/365</f>
        <v>3.2615786040443573</v>
      </c>
      <c r="J71" s="11">
        <f>I71/G80</f>
        <v>2.8812531837847681E-3</v>
      </c>
      <c r="K71" s="10"/>
      <c r="L71" s="10"/>
      <c r="M71" s="10"/>
      <c r="N71" s="10"/>
    </row>
    <row r="72" spans="1:14">
      <c r="A72" s="6"/>
      <c r="B72" s="6"/>
      <c r="C72" s="6"/>
      <c r="D72" s="6"/>
      <c r="E72" s="6"/>
      <c r="F72" s="6" t="s">
        <v>66</v>
      </c>
      <c r="G72" s="6">
        <f>100*G91</f>
        <v>25</v>
      </c>
      <c r="H72" s="9">
        <f t="shared" si="5"/>
        <v>396.82539682539681</v>
      </c>
      <c r="I72" s="10">
        <f t="shared" si="6"/>
        <v>1.0871928680147858</v>
      </c>
      <c r="J72" s="10">
        <f t="shared" si="7"/>
        <v>4.2972050119161496E-3</v>
      </c>
      <c r="K72" s="10"/>
      <c r="L72" s="10"/>
      <c r="M72" s="10"/>
      <c r="N72" s="10"/>
    </row>
    <row r="73" spans="1:14">
      <c r="A73" s="6"/>
      <c r="B73" s="6"/>
      <c r="C73" s="6"/>
      <c r="D73" s="6"/>
      <c r="E73" s="6"/>
      <c r="F73" s="6" t="s">
        <v>47</v>
      </c>
      <c r="G73" s="6">
        <v>100</v>
      </c>
      <c r="H73" s="9">
        <f t="shared" si="5"/>
        <v>1587.3015873015872</v>
      </c>
      <c r="I73" s="10">
        <f t="shared" si="6"/>
        <v>4.3487714720591431</v>
      </c>
      <c r="J73" s="10">
        <f t="shared" si="7"/>
        <v>1.7188820047664598E-2</v>
      </c>
      <c r="K73" s="10"/>
      <c r="L73" s="10"/>
      <c r="M73" s="10"/>
      <c r="N73" s="10"/>
    </row>
    <row r="74" spans="1:14">
      <c r="A74" s="6"/>
      <c r="B74" s="6"/>
      <c r="C74" s="6"/>
      <c r="D74" s="6"/>
      <c r="E74" s="6"/>
      <c r="F74" s="6" t="s">
        <v>48</v>
      </c>
      <c r="G74" s="6">
        <v>16</v>
      </c>
      <c r="H74" s="9">
        <f t="shared" si="5"/>
        <v>253.96825396825395</v>
      </c>
      <c r="I74" s="10">
        <f t="shared" si="6"/>
        <v>0.69580343552946289</v>
      </c>
      <c r="J74" s="10">
        <f t="shared" si="7"/>
        <v>2.7502112076263356E-3</v>
      </c>
      <c r="K74" s="10"/>
      <c r="L74" s="10"/>
      <c r="M74" s="10"/>
      <c r="N74" s="10"/>
    </row>
    <row r="75" spans="1:14">
      <c r="A75" s="6"/>
      <c r="B75" s="6"/>
      <c r="C75" s="6"/>
      <c r="D75" s="6"/>
      <c r="E75" s="6"/>
      <c r="F75" s="6" t="s">
        <v>50</v>
      </c>
      <c r="G75" s="6">
        <v>137</v>
      </c>
      <c r="H75" s="9">
        <f t="shared" si="5"/>
        <v>2174.6031746031745</v>
      </c>
      <c r="I75" s="10">
        <f t="shared" si="6"/>
        <v>5.9578169167210255</v>
      </c>
      <c r="J75" s="10"/>
      <c r="K75" s="12">
        <f>I75/G79</f>
        <v>0.10832394394038228</v>
      </c>
      <c r="L75" s="10">
        <f>K75*1.2</f>
        <v>0.12998873272845873</v>
      </c>
      <c r="M75" s="10"/>
      <c r="N75" s="10"/>
    </row>
    <row r="76" spans="1:14">
      <c r="A76" s="6"/>
      <c r="B76" s="6"/>
      <c r="C76" s="6"/>
      <c r="D76" s="6"/>
      <c r="E76" s="6"/>
      <c r="F76" s="6"/>
      <c r="G76" s="6"/>
      <c r="H76" s="6"/>
      <c r="I76" s="12">
        <f>SUM(I69:I74)-I71</f>
        <v>13.655142422265707</v>
      </c>
      <c r="J76" s="12">
        <f>SUM(J69:J74)-J71</f>
        <v>5.3972894949666839E-2</v>
      </c>
      <c r="K76" s="10"/>
      <c r="L76" s="10"/>
      <c r="M76" s="10"/>
      <c r="N76" s="10"/>
    </row>
    <row r="77" spans="1:14">
      <c r="A77" s="6"/>
      <c r="B77" s="6"/>
      <c r="C77" s="6"/>
      <c r="D77" s="6"/>
      <c r="E77" s="6"/>
      <c r="F77" s="6" t="s">
        <v>51</v>
      </c>
      <c r="G77" s="6">
        <v>63</v>
      </c>
      <c r="H77" s="6"/>
      <c r="I77" s="10"/>
      <c r="J77" s="10"/>
      <c r="K77" s="10"/>
      <c r="L77" s="10"/>
      <c r="M77" s="10"/>
      <c r="N77" s="10"/>
    </row>
    <row r="78" spans="1:14">
      <c r="A78" s="6"/>
      <c r="B78" s="6"/>
      <c r="C78" s="6"/>
      <c r="D78" s="6"/>
      <c r="E78" s="6"/>
      <c r="F78" s="6" t="s">
        <v>53</v>
      </c>
      <c r="G78" s="6">
        <f>D9+D10+D12+D14+D18</f>
        <v>253</v>
      </c>
      <c r="H78" s="6"/>
      <c r="I78" s="10" t="s">
        <v>6</v>
      </c>
      <c r="J78" s="10"/>
      <c r="K78" s="10"/>
      <c r="L78" s="10"/>
      <c r="M78" s="10"/>
      <c r="N78" s="10"/>
    </row>
    <row r="79" spans="1:14">
      <c r="A79" s="6"/>
      <c r="B79" s="6"/>
      <c r="C79" s="6"/>
      <c r="D79" s="6"/>
      <c r="E79" s="6"/>
      <c r="F79" s="6" t="s">
        <v>56</v>
      </c>
      <c r="G79" s="6">
        <f>D17</f>
        <v>55</v>
      </c>
      <c r="H79" s="6"/>
      <c r="I79" s="10"/>
      <c r="J79" s="10"/>
      <c r="K79" s="10"/>
      <c r="L79" s="10"/>
      <c r="M79" s="10"/>
      <c r="N79" s="10"/>
    </row>
    <row r="80" spans="1:14">
      <c r="A80" s="6"/>
      <c r="B80" s="6"/>
      <c r="C80" s="6"/>
      <c r="D80" s="6"/>
      <c r="E80" s="6"/>
      <c r="F80" s="6" t="s">
        <v>67</v>
      </c>
      <c r="G80" s="6">
        <f>H39</f>
        <v>1132</v>
      </c>
      <c r="H80" s="6"/>
      <c r="I80" s="10"/>
      <c r="J80" s="10"/>
      <c r="K80" s="10"/>
      <c r="L80" s="10"/>
      <c r="M80" s="10"/>
      <c r="N80" s="10"/>
    </row>
    <row r="81" spans="1:14">
      <c r="A81" s="6"/>
      <c r="B81" s="6"/>
      <c r="C81" s="6"/>
      <c r="D81" s="6"/>
      <c r="E81" s="6"/>
      <c r="F81" s="6"/>
      <c r="G81" s="6"/>
      <c r="H81" s="6"/>
      <c r="I81" s="10"/>
      <c r="J81" s="10"/>
      <c r="K81" s="10"/>
      <c r="L81" s="10"/>
      <c r="M81" s="10"/>
      <c r="N81" s="10"/>
    </row>
    <row r="82" spans="1:14">
      <c r="A82" s="6"/>
      <c r="B82" s="6"/>
      <c r="C82" s="6"/>
      <c r="D82" s="6"/>
      <c r="E82" s="6"/>
      <c r="F82" s="5" t="s">
        <v>57</v>
      </c>
      <c r="G82" s="6"/>
      <c r="H82" s="6"/>
      <c r="I82" s="10"/>
      <c r="J82" s="10"/>
      <c r="K82" s="10"/>
      <c r="L82" s="10"/>
      <c r="M82" s="10"/>
      <c r="N82" s="10"/>
    </row>
    <row r="83" spans="1:14">
      <c r="A83" s="6"/>
      <c r="B83" s="6"/>
      <c r="C83" s="6"/>
      <c r="D83" s="6"/>
      <c r="E83" s="6"/>
      <c r="F83" s="6"/>
      <c r="G83" s="6"/>
      <c r="H83" s="6"/>
      <c r="I83" s="10"/>
      <c r="J83" s="10"/>
      <c r="K83" s="10"/>
      <c r="L83" s="10"/>
      <c r="M83" s="10"/>
      <c r="N83" s="10"/>
    </row>
    <row r="84" spans="1:14">
      <c r="A84" s="6"/>
      <c r="B84" s="6"/>
      <c r="C84" s="6"/>
      <c r="D84" s="6"/>
      <c r="E84" s="6"/>
      <c r="F84" s="6" t="s">
        <v>58</v>
      </c>
      <c r="G84" s="6"/>
      <c r="H84" s="6"/>
      <c r="I84" s="10"/>
      <c r="J84" s="10"/>
      <c r="K84" s="10"/>
      <c r="L84" s="10"/>
      <c r="M84" s="10"/>
      <c r="N84" s="10"/>
    </row>
    <row r="85" spans="1:14">
      <c r="A85" s="6"/>
      <c r="B85" s="6"/>
      <c r="C85" s="6"/>
      <c r="D85" s="6"/>
      <c r="E85" s="6"/>
      <c r="F85" s="6" t="s">
        <v>59</v>
      </c>
      <c r="G85" s="6"/>
      <c r="H85" s="6"/>
      <c r="I85" s="6"/>
      <c r="J85" s="6"/>
      <c r="K85" s="6"/>
      <c r="L85" s="6"/>
      <c r="M85" s="6"/>
      <c r="N85" s="6"/>
    </row>
    <row r="86" spans="1:14">
      <c r="A86" s="6"/>
      <c r="B86" s="6"/>
      <c r="C86" s="6"/>
      <c r="D86" s="6"/>
      <c r="E86" s="6"/>
      <c r="F86" s="6" t="s">
        <v>60</v>
      </c>
      <c r="G86" s="6"/>
      <c r="H86" s="6"/>
      <c r="I86" s="6"/>
      <c r="J86" s="6"/>
      <c r="K86" s="6"/>
      <c r="L86" s="6"/>
      <c r="M86" s="6"/>
      <c r="N86" s="6"/>
    </row>
    <row r="87" spans="1:1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>
      <c r="A88" s="6"/>
      <c r="B88" s="6"/>
      <c r="C88" s="6"/>
      <c r="D88" s="6"/>
      <c r="E88" s="6"/>
      <c r="F88" s="6" t="s">
        <v>61</v>
      </c>
      <c r="G88" s="6"/>
      <c r="H88" s="6"/>
      <c r="I88" s="6"/>
      <c r="J88" s="6"/>
      <c r="K88" s="6"/>
      <c r="L88" s="6"/>
      <c r="M88" s="6"/>
      <c r="N88" s="6"/>
    </row>
    <row r="89" spans="1:14">
      <c r="A89" s="6"/>
      <c r="B89" s="6"/>
      <c r="C89" s="6"/>
      <c r="D89" s="6"/>
      <c r="E89" s="6"/>
      <c r="F89" s="6" t="s">
        <v>62</v>
      </c>
      <c r="G89" s="6"/>
      <c r="H89" s="6"/>
      <c r="I89" s="6"/>
      <c r="J89" s="6"/>
      <c r="K89" s="6"/>
      <c r="L89" s="6"/>
      <c r="M89" s="6"/>
      <c r="N89" s="6"/>
    </row>
    <row r="90" spans="1:14">
      <c r="A90" s="6"/>
      <c r="B90" s="6"/>
      <c r="C90" s="6"/>
      <c r="D90" s="6"/>
      <c r="E90" s="6"/>
      <c r="F90" s="6" t="s">
        <v>63</v>
      </c>
      <c r="G90" s="6"/>
      <c r="H90" s="6"/>
      <c r="I90" s="6"/>
      <c r="J90" s="6"/>
      <c r="K90" s="6"/>
      <c r="L90" s="6"/>
      <c r="M90" s="6"/>
      <c r="N90" s="6"/>
    </row>
    <row r="91" spans="1:14">
      <c r="A91" s="6"/>
      <c r="B91" s="6"/>
      <c r="C91" s="6"/>
      <c r="D91" s="6"/>
      <c r="E91" s="6"/>
      <c r="F91" s="6" t="s">
        <v>64</v>
      </c>
      <c r="G91" s="13">
        <v>0.25</v>
      </c>
      <c r="H91" s="6"/>
      <c r="I91" s="6"/>
      <c r="J91" s="6"/>
      <c r="K91" s="6"/>
      <c r="L91" s="6"/>
      <c r="M91" s="6"/>
      <c r="N91" s="6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>
      <c r="A93" s="6"/>
      <c r="B93" s="6"/>
      <c r="C93" s="6"/>
      <c r="D93" s="6"/>
      <c r="E93" s="6"/>
      <c r="F93" s="6"/>
      <c r="G93" s="6"/>
      <c r="H93" s="6"/>
      <c r="I93" s="6" t="s">
        <v>13</v>
      </c>
      <c r="J93" s="6"/>
      <c r="K93" s="6"/>
      <c r="L93" s="6"/>
      <c r="M93" s="6"/>
      <c r="N93" s="6"/>
    </row>
    <row r="94" spans="1:14">
      <c r="A94" s="6"/>
      <c r="B94" s="6"/>
      <c r="C94" s="6"/>
      <c r="D94" s="6"/>
      <c r="E94" s="6"/>
      <c r="F94" s="5" t="s">
        <v>68</v>
      </c>
      <c r="G94" s="6"/>
      <c r="H94" s="6"/>
      <c r="I94" s="6">
        <v>2.5</v>
      </c>
      <c r="J94" s="6"/>
      <c r="K94" s="6"/>
      <c r="L94" s="6"/>
      <c r="M94" s="6"/>
      <c r="N94" s="6"/>
    </row>
    <row r="95" spans="1:14">
      <c r="A95" s="6"/>
      <c r="B95" s="6"/>
      <c r="C95" s="6"/>
      <c r="D95" s="6"/>
      <c r="E95" s="6"/>
      <c r="F95" s="6"/>
      <c r="G95" s="6" t="s">
        <v>12</v>
      </c>
      <c r="H95" s="6" t="s">
        <v>7</v>
      </c>
      <c r="I95" s="6" t="s">
        <v>8</v>
      </c>
      <c r="J95" s="6" t="s">
        <v>9</v>
      </c>
      <c r="K95" s="6" t="s">
        <v>10</v>
      </c>
      <c r="L95" s="6" t="s">
        <v>11</v>
      </c>
      <c r="M95" s="6"/>
      <c r="N95" s="6"/>
    </row>
    <row r="96" spans="1:14">
      <c r="A96" s="6"/>
      <c r="B96" s="6"/>
      <c r="C96" s="6"/>
      <c r="D96" s="6"/>
      <c r="E96" s="6"/>
      <c r="F96" s="6" t="s">
        <v>69</v>
      </c>
      <c r="G96" s="6">
        <v>300</v>
      </c>
      <c r="H96" s="6">
        <v>3</v>
      </c>
      <c r="I96" s="6">
        <f>H96/I94</f>
        <v>1.2</v>
      </c>
      <c r="J96" s="6">
        <v>4</v>
      </c>
      <c r="K96" s="6">
        <f>G96*H96/J96</f>
        <v>225</v>
      </c>
      <c r="L96" s="6">
        <f>K96/I$94</f>
        <v>90</v>
      </c>
      <c r="M96" s="6"/>
      <c r="N96" s="6"/>
    </row>
    <row r="97" spans="1:14">
      <c r="A97" s="6"/>
      <c r="B97" s="6"/>
      <c r="C97" s="6"/>
      <c r="D97" s="6"/>
      <c r="E97" s="6"/>
      <c r="F97" s="6" t="s">
        <v>70</v>
      </c>
      <c r="G97" s="6">
        <v>2000</v>
      </c>
      <c r="H97" s="6">
        <v>1.5</v>
      </c>
      <c r="I97" s="6">
        <f>H97/I94</f>
        <v>0.6</v>
      </c>
      <c r="J97" s="6">
        <v>5</v>
      </c>
      <c r="K97" s="6">
        <f t="shared" ref="K97:K99" si="8">G97*H97/J97</f>
        <v>600</v>
      </c>
      <c r="L97" s="6">
        <f>K97/I$94</f>
        <v>240</v>
      </c>
      <c r="M97" s="6"/>
      <c r="N97" s="6"/>
    </row>
    <row r="98" spans="1:14">
      <c r="A98" s="6"/>
      <c r="B98" s="6"/>
      <c r="C98" s="6"/>
      <c r="D98" s="6"/>
      <c r="E98" s="6"/>
      <c r="F98" s="6" t="s">
        <v>71</v>
      </c>
      <c r="G98" s="6">
        <v>300</v>
      </c>
      <c r="H98" s="6">
        <v>1</v>
      </c>
      <c r="I98" s="6">
        <f>H98/I94</f>
        <v>0.4</v>
      </c>
      <c r="J98" s="6">
        <v>4</v>
      </c>
      <c r="K98" s="6">
        <f t="shared" si="8"/>
        <v>75</v>
      </c>
      <c r="L98" s="6">
        <f>K98/I$94</f>
        <v>30</v>
      </c>
      <c r="M98" s="6"/>
      <c r="N98" s="6"/>
    </row>
    <row r="99" spans="1:14">
      <c r="A99" s="6"/>
      <c r="B99" s="6"/>
      <c r="C99" s="6"/>
      <c r="D99" s="6"/>
      <c r="E99" s="6"/>
      <c r="F99" s="6" t="s">
        <v>72</v>
      </c>
      <c r="G99" s="6">
        <v>500</v>
      </c>
      <c r="H99" s="6">
        <v>2</v>
      </c>
      <c r="I99" s="6">
        <f>H99/I94</f>
        <v>0.8</v>
      </c>
      <c r="J99" s="6">
        <v>8</v>
      </c>
      <c r="K99" s="6">
        <f t="shared" si="8"/>
        <v>125</v>
      </c>
      <c r="L99" s="6">
        <f>K99/I$94</f>
        <v>50</v>
      </c>
      <c r="M99" s="6"/>
      <c r="N99" s="6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>
      <c r="A101" s="6"/>
      <c r="B101" s="6"/>
      <c r="C101" s="6"/>
      <c r="D101" s="6"/>
      <c r="E101" s="6"/>
      <c r="F101" s="6"/>
      <c r="G101" s="6" t="s">
        <v>16</v>
      </c>
      <c r="H101" s="6" t="s">
        <v>30</v>
      </c>
      <c r="I101" s="5" t="s">
        <v>28</v>
      </c>
      <c r="J101" s="6"/>
      <c r="K101" s="6"/>
      <c r="L101" s="6"/>
      <c r="M101" s="6"/>
      <c r="N101" s="6"/>
    </row>
    <row r="102" spans="1:14">
      <c r="A102" s="6"/>
      <c r="B102" s="6"/>
      <c r="C102" s="6"/>
      <c r="D102" s="6"/>
      <c r="E102" s="6"/>
      <c r="F102" s="6" t="s">
        <v>14</v>
      </c>
      <c r="G102" s="6">
        <f>L97+L98</f>
        <v>270</v>
      </c>
      <c r="H102" s="6">
        <f>D15*365</f>
        <v>46355</v>
      </c>
      <c r="I102" s="14">
        <f>G102/H102</f>
        <v>5.8246143889548055E-3</v>
      </c>
      <c r="J102" s="6"/>
      <c r="K102" s="6"/>
      <c r="L102" s="6"/>
      <c r="M102" s="6"/>
      <c r="N102" s="6"/>
    </row>
    <row r="103" spans="1:14">
      <c r="A103" s="6"/>
      <c r="B103" s="6"/>
      <c r="C103" s="6"/>
      <c r="D103" s="6"/>
      <c r="E103" s="6"/>
      <c r="F103" s="6" t="s">
        <v>15</v>
      </c>
      <c r="G103" s="6">
        <f>L99+L96</f>
        <v>140</v>
      </c>
      <c r="H103" s="6">
        <f>D16*365</f>
        <v>10585</v>
      </c>
      <c r="I103" s="14">
        <f>G103/H103</f>
        <v>1.3226263580538498E-2</v>
      </c>
      <c r="J103" s="6"/>
      <c r="K103" s="6"/>
      <c r="L103" s="6"/>
      <c r="M103" s="6"/>
      <c r="N103" s="6"/>
    </row>
    <row r="104" spans="1:14">
      <c r="A104" s="6"/>
      <c r="B104" s="6"/>
      <c r="C104" s="6"/>
      <c r="D104" s="6"/>
      <c r="E104" s="6"/>
      <c r="F104" s="6"/>
      <c r="G104" s="6"/>
      <c r="H104" s="6"/>
      <c r="I104" s="15"/>
      <c r="J104" s="6"/>
      <c r="K104" s="6"/>
      <c r="L104" s="6"/>
      <c r="M104" s="6"/>
      <c r="N104" s="6"/>
    </row>
    <row r="105" spans="1:14">
      <c r="A105" s="6"/>
      <c r="B105" s="6"/>
      <c r="C105" s="6"/>
      <c r="D105" s="6"/>
      <c r="E105" s="6"/>
      <c r="F105" s="6" t="s">
        <v>17</v>
      </c>
      <c r="G105" s="6"/>
      <c r="H105" s="6"/>
      <c r="I105" s="6"/>
      <c r="J105" s="6"/>
      <c r="K105" s="6"/>
      <c r="L105" s="6"/>
      <c r="M105" s="6"/>
      <c r="N105" s="6"/>
    </row>
    <row r="106" spans="1:14">
      <c r="A106" s="6"/>
      <c r="B106" s="6"/>
      <c r="C106" s="6"/>
      <c r="D106" s="6"/>
      <c r="E106" s="6"/>
      <c r="F106" s="6" t="s">
        <v>18</v>
      </c>
      <c r="G106" s="6"/>
      <c r="H106" s="6"/>
      <c r="I106" s="6"/>
      <c r="J106" s="6"/>
      <c r="K106" s="6"/>
      <c r="L106" s="6"/>
      <c r="M106" s="6"/>
      <c r="N106" s="6"/>
    </row>
    <row r="107" spans="1:14">
      <c r="A107" s="6"/>
      <c r="B107" s="6"/>
      <c r="C107" s="6"/>
      <c r="D107" s="6"/>
      <c r="E107" s="6"/>
      <c r="F107" s="6" t="s">
        <v>19</v>
      </c>
      <c r="G107" s="6"/>
      <c r="H107" s="6"/>
      <c r="I107" s="6"/>
      <c r="J107" s="6"/>
      <c r="K107" s="6"/>
      <c r="L107" s="6"/>
      <c r="M107" s="6"/>
      <c r="N107" s="6"/>
    </row>
    <row r="108" spans="1:14">
      <c r="A108" s="6"/>
      <c r="B108" s="6"/>
      <c r="C108" s="6"/>
      <c r="D108" s="6"/>
      <c r="E108" s="6"/>
      <c r="F108" s="6">
        <f>10*365</f>
        <v>3650</v>
      </c>
      <c r="G108" s="6"/>
      <c r="H108" s="6"/>
      <c r="I108" s="6"/>
      <c r="J108" s="6"/>
      <c r="K108" s="6"/>
      <c r="L108" s="6"/>
      <c r="M108" s="6"/>
      <c r="N108" s="6"/>
    </row>
    <row r="109" spans="1:14">
      <c r="A109" s="6"/>
      <c r="B109" s="6"/>
      <c r="C109" s="6"/>
      <c r="D109" s="6"/>
      <c r="E109" s="6"/>
      <c r="F109" s="6" t="s">
        <v>20</v>
      </c>
      <c r="G109" s="6"/>
      <c r="H109" s="6"/>
      <c r="I109" s="6"/>
      <c r="J109" s="6"/>
      <c r="K109" s="6"/>
      <c r="L109" s="6"/>
      <c r="M109" s="6"/>
      <c r="N109" s="6"/>
    </row>
    <row r="110" spans="1:14">
      <c r="A110" s="6"/>
      <c r="B110" s="6"/>
      <c r="C110" s="6"/>
      <c r="D110" s="6"/>
      <c r="E110" s="6"/>
      <c r="F110" s="6" t="s">
        <v>21</v>
      </c>
      <c r="G110" s="6"/>
      <c r="H110" s="6"/>
      <c r="I110" s="6"/>
      <c r="J110" s="6"/>
      <c r="K110" s="6"/>
      <c r="L110" s="6"/>
      <c r="M110" s="6"/>
      <c r="N110" s="6"/>
    </row>
    <row r="111" spans="1:14">
      <c r="A111" s="6"/>
      <c r="B111" s="6"/>
      <c r="C111" s="6"/>
      <c r="D111" s="6"/>
      <c r="E111" s="6"/>
      <c r="F111" s="6" t="s">
        <v>22</v>
      </c>
      <c r="G111" s="6"/>
      <c r="H111" s="6"/>
      <c r="I111" s="6"/>
      <c r="J111" s="6"/>
      <c r="K111" s="6"/>
      <c r="L111" s="6"/>
      <c r="M111" s="6"/>
      <c r="N111" s="6"/>
    </row>
    <row r="112" spans="1:14">
      <c r="A112" s="6"/>
      <c r="B112" s="6"/>
      <c r="C112" s="6"/>
      <c r="D112" s="6"/>
      <c r="E112" s="6"/>
      <c r="F112" s="6">
        <f>15*0.3</f>
        <v>4.5</v>
      </c>
      <c r="G112" s="6" t="s">
        <v>23</v>
      </c>
      <c r="H112" s="6"/>
      <c r="I112" s="6"/>
      <c r="J112" s="6"/>
      <c r="K112" s="6"/>
      <c r="L112" s="6"/>
      <c r="M112" s="6"/>
      <c r="N112" s="6"/>
    </row>
    <row r="113" spans="1:14">
      <c r="A113" s="6"/>
      <c r="B113" s="6"/>
      <c r="C113" s="6"/>
      <c r="D113" s="6"/>
      <c r="E113" s="6"/>
      <c r="F113" s="6">
        <f>(500+500)*44/12</f>
        <v>3666.6666666666665</v>
      </c>
      <c r="G113" s="6" t="s">
        <v>24</v>
      </c>
      <c r="H113" s="6"/>
      <c r="I113" s="6"/>
      <c r="J113" s="6"/>
      <c r="K113" s="6"/>
      <c r="L113" s="6"/>
      <c r="M113" s="6"/>
      <c r="N113" s="6"/>
    </row>
    <row r="114" spans="1:14">
      <c r="A114" s="6"/>
      <c r="B114" s="6"/>
      <c r="C114" s="6"/>
      <c r="D114" s="6"/>
      <c r="E114" s="6"/>
      <c r="F114" s="6">
        <f>F113*F112/1000</f>
        <v>16.5</v>
      </c>
      <c r="G114" s="6" t="s">
        <v>25</v>
      </c>
      <c r="H114" s="6"/>
      <c r="I114" s="6"/>
      <c r="J114" s="6"/>
      <c r="K114" s="6"/>
      <c r="L114" s="6"/>
      <c r="M114" s="6"/>
      <c r="N114" s="6"/>
    </row>
    <row r="115" spans="1:14">
      <c r="A115" s="6"/>
      <c r="B115" s="6"/>
      <c r="C115" s="6"/>
      <c r="D115" s="6"/>
      <c r="E115" s="6"/>
      <c r="F115" s="6">
        <f>F114/F108</f>
        <v>4.5205479452054796E-3</v>
      </c>
      <c r="G115" s="6" t="s">
        <v>26</v>
      </c>
      <c r="H115" s="6"/>
      <c r="I115" s="6"/>
      <c r="J115" s="6"/>
      <c r="K115" s="6"/>
      <c r="L115" s="6"/>
      <c r="M115" s="6"/>
      <c r="N115" s="6"/>
    </row>
    <row r="116" spans="1:14">
      <c r="A116" s="6"/>
      <c r="B116" s="6"/>
      <c r="C116" s="6"/>
      <c r="D116" s="6"/>
      <c r="E116" s="6"/>
      <c r="F116" s="5">
        <f>F114/H103</f>
        <v>1.5588096362777516E-3</v>
      </c>
      <c r="G116" s="5" t="s">
        <v>27</v>
      </c>
      <c r="H116" s="6"/>
      <c r="I116" s="6"/>
      <c r="J116" s="6"/>
      <c r="K116" s="6"/>
      <c r="L116" s="6"/>
      <c r="M116" s="6"/>
      <c r="N116" s="6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s="16" customFormat="1"/>
    <row r="124" spans="1:14" s="16" customFormat="1">
      <c r="A124" s="17" t="s">
        <v>1</v>
      </c>
    </row>
    <row r="125" spans="1:14" s="16" customFormat="1"/>
    <row r="126" spans="1:14" s="16" customFormat="1">
      <c r="A126" s="16" t="s">
        <v>38</v>
      </c>
    </row>
    <row r="127" spans="1:14" s="16" customFormat="1">
      <c r="A127" s="16" t="s">
        <v>0</v>
      </c>
    </row>
    <row r="128" spans="1:14" s="16" customFormat="1"/>
    <row r="129" spans="1:1" s="16" customFormat="1">
      <c r="A129" s="16" t="s">
        <v>4</v>
      </c>
    </row>
    <row r="130" spans="1:1" s="16" customFormat="1"/>
    <row r="131" spans="1:1" s="16" customFormat="1">
      <c r="A131" s="16" t="s">
        <v>5</v>
      </c>
    </row>
    <row r="132" spans="1:1" s="16" customFormat="1"/>
    <row r="133" spans="1:1" s="16" customFormat="1"/>
    <row r="134" spans="1:1" s="16" customFormat="1"/>
    <row r="135" spans="1:1" s="16" customFormat="1"/>
    <row r="136" spans="1:1" s="16" customFormat="1"/>
    <row r="137" spans="1:1" s="16" customFormat="1"/>
    <row r="138" spans="1:1" s="16" customFormat="1"/>
    <row r="139" spans="1:1" s="16" customFormat="1"/>
    <row r="140" spans="1:1" s="16" customFormat="1"/>
    <row r="141" spans="1:1" s="16" customFormat="1"/>
    <row r="142" spans="1:1" s="16" customFormat="1"/>
    <row r="143" spans="1:1" s="16" customFormat="1"/>
    <row r="144" spans="1:1" s="16" customFormat="1"/>
    <row r="145" s="16" customFormat="1"/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Factor 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Chomé</dc:creator>
  <cp:lastModifiedBy>Frédéric Chomé</cp:lastModifiedBy>
  <dcterms:created xsi:type="dcterms:W3CDTF">2010-10-21T07:14:54Z</dcterms:created>
  <dcterms:modified xsi:type="dcterms:W3CDTF">2010-10-22T13:36:51Z</dcterms:modified>
</cp:coreProperties>
</file>